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RIS" sheetId="1" r:id="rId1"/>
    <sheet name="Grille" sheetId="2" r:id="rId2"/>
  </sheets>
  <definedNames>
    <definedName name="_xlnm.Print_Area" localSheetId="0">'RIS'!$A$1:$G$55</definedName>
  </definedNames>
  <calcPr fullCalcOnLoad="1"/>
</workbook>
</file>

<file path=xl/sharedStrings.xml><?xml version="1.0" encoding="utf-8"?>
<sst xmlns="http://schemas.openxmlformats.org/spreadsheetml/2006/main" count="106" uniqueCount="101">
  <si>
    <t>Aide au dimensionnement
des Dispositifs Prévisionnels de Secours
conformément au Référentiel National DPS</t>
  </si>
  <si>
    <t>Informations nécessaires</t>
  </si>
  <si>
    <t>Public attendu (P1)</t>
  </si>
  <si>
    <t>Comportement du public (P2)</t>
  </si>
  <si>
    <t>Accessibilité et environnement (E1)</t>
  </si>
  <si>
    <t>Délai d'intervention des secours publics (E2)</t>
  </si>
  <si>
    <t>Ratio Intervenants secouristes</t>
  </si>
  <si>
    <t>Indice total de risque (i)</t>
  </si>
  <si>
    <t>Effectif pondéré (P)</t>
  </si>
  <si>
    <t>Ratio d'Intervenants Secouristes (RIS)</t>
  </si>
  <si>
    <t>Dimensionnement recommandé</t>
  </si>
  <si>
    <t>Nombre d'intervenants secouristes</t>
  </si>
  <si>
    <t>Type de DPS</t>
  </si>
  <si>
    <t>Nombre de secteurs</t>
  </si>
  <si>
    <t>Nombre de postes de secours</t>
  </si>
  <si>
    <t>Nombre d'équipes supplémentaires</t>
  </si>
  <si>
    <t>Nombre de binômes supplémentaires</t>
  </si>
  <si>
    <t>Nombre de PAPS</t>
  </si>
  <si>
    <t>Nombre de lot de secours type A</t>
  </si>
  <si>
    <t>Nombre de lot de secours type B</t>
  </si>
  <si>
    <t>Nombre de lot de secours type C</t>
  </si>
  <si>
    <t>Nombre de chef de dispositif</t>
  </si>
  <si>
    <t>Nombre de chefs de secteurs</t>
  </si>
  <si>
    <t>Nombre de chefs de postes*</t>
  </si>
  <si>
    <t>Nombres de chefs d'équipe*</t>
  </si>
  <si>
    <t>Nombre de PSE2*</t>
  </si>
  <si>
    <t>Nombre de PSE1*</t>
  </si>
  <si>
    <t>Nombre de stagiaires maxi</t>
  </si>
  <si>
    <t>Nombre de mineurs maxi</t>
  </si>
  <si>
    <t>Nombre de L.A.T. mini</t>
  </si>
  <si>
    <t>* sont les seuls intervenants secouristes comptabilisés dans les calculs : les Chefs de sections, de dispositifs et les stagiaires ne sont pas comptabilisés comme étant des "intervenants secouristes".</t>
  </si>
  <si>
    <t>GRILLE D' EVALUATION DES RISQUES</t>
  </si>
  <si>
    <t>Niveau de Risque</t>
  </si>
  <si>
    <t>RIS</t>
  </si>
  <si>
    <t>Faible</t>
  </si>
  <si>
    <t>Modéré</t>
  </si>
  <si>
    <t>Moyen</t>
  </si>
  <si>
    <t>Elevé</t>
  </si>
  <si>
    <r>
      <t xml:space="preserve">RIS </t>
    </r>
    <r>
      <rPr>
        <b/>
        <sz val="12"/>
        <rFont val="Arial"/>
        <family val="2"/>
      </rPr>
      <t>≤ 0,25</t>
    </r>
  </si>
  <si>
    <t>A la diligence de l'autorité de Police compétente</t>
  </si>
  <si>
    <r>
      <t>0,25 &lt;</t>
    </r>
    <r>
      <rPr>
        <sz val="12"/>
        <rFont val="Arial"/>
        <family val="2"/>
      </rPr>
      <t xml:space="preserve"> RIS </t>
    </r>
    <r>
      <rPr>
        <b/>
        <sz val="12"/>
        <rFont val="Arial"/>
        <family val="2"/>
      </rPr>
      <t>≤ 1,125</t>
    </r>
  </si>
  <si>
    <t>Point d'Alerte et de Premiers Secours</t>
  </si>
  <si>
    <t>Indicateur P2</t>
  </si>
  <si>
    <r>
      <t>1,125 &lt;</t>
    </r>
    <r>
      <rPr>
        <sz val="12"/>
        <rFont val="Arial"/>
        <family val="2"/>
      </rPr>
      <t xml:space="preserve"> RIS </t>
    </r>
    <r>
      <rPr>
        <b/>
        <sz val="12"/>
        <rFont val="Arial"/>
        <family val="2"/>
      </rPr>
      <t>≤ 12</t>
    </r>
  </si>
  <si>
    <t>DPS de petite envergure</t>
  </si>
  <si>
    <t>Indicateur E1</t>
  </si>
  <si>
    <r>
      <t>12 &lt;</t>
    </r>
    <r>
      <rPr>
        <sz val="12"/>
        <rFont val="Arial"/>
        <family val="2"/>
      </rPr>
      <t xml:space="preserve"> RIS </t>
    </r>
    <r>
      <rPr>
        <b/>
        <sz val="12"/>
        <rFont val="Arial"/>
        <family val="2"/>
      </rPr>
      <t>≤ 36</t>
    </r>
  </si>
  <si>
    <t>DPS de moyenne envergure</t>
  </si>
  <si>
    <t>Indicateur E2</t>
  </si>
  <si>
    <t>36 &lt; RIS</t>
  </si>
  <si>
    <t>DPS de grande envergure</t>
  </si>
  <si>
    <t>Indice Total de risque: i = P2 + E1 + E2 =</t>
  </si>
  <si>
    <t>+</t>
  </si>
  <si>
    <t>=</t>
  </si>
  <si>
    <t>Effectif prévisible déclaré du public:</t>
  </si>
  <si>
    <t>P1 =</t>
  </si>
  <si>
    <t>Si P1≤ 100 000 personnes, alors P = P1</t>
  </si>
  <si>
    <r>
      <t>P</t>
    </r>
    <r>
      <rPr>
        <sz val="8"/>
        <rFont val="Arial"/>
        <family val="2"/>
      </rPr>
      <t>1</t>
    </r>
    <r>
      <rPr>
        <sz val="12"/>
        <rFont val="Arial"/>
        <family val="2"/>
      </rPr>
      <t xml:space="preserve"> - 100 000</t>
    </r>
  </si>
  <si>
    <t xml:space="preserve">Si P1 &gt;100 000 personnes, alors P = 100 000 + </t>
  </si>
  <si>
    <t>P</t>
  </si>
  <si>
    <t xml:space="preserve">Ratio d'intervenants secouristes </t>
  </si>
  <si>
    <t xml:space="preserve">RIS = i x </t>
  </si>
  <si>
    <t>000</t>
  </si>
  <si>
    <t>RIS =</t>
  </si>
  <si>
    <t>Effectif pair d'intervenants secouristes =</t>
  </si>
  <si>
    <t>Type de DPS:</t>
  </si>
  <si>
    <t xml:space="preserve">Nom et visa </t>
  </si>
  <si>
    <t>Nom et visa</t>
  </si>
  <si>
    <t>de l'organisateur</t>
  </si>
  <si>
    <t>de l'autorité d'emploi de l'association</t>
  </si>
  <si>
    <t>Assis</t>
  </si>
  <si>
    <t>Moyenne</t>
  </si>
  <si>
    <t>Debout</t>
  </si>
  <si>
    <t>Debout statique</t>
  </si>
  <si>
    <t>Debout dynamique</t>
  </si>
  <si>
    <t>Public assis : spectacle, cérémonie culturelle, réunion publique, restauration, rendez-vous sportif…</t>
  </si>
  <si>
    <t>Tres bonne</t>
  </si>
  <si>
    <t>Public debout : cérémonie culturelle, réunion publique, exposition, foire, salon, comise agricole…</t>
  </si>
  <si>
    <t>Public debout : spectacle avec public statique, fête foraine, rendez-vous sportif avec protection du public par rapport à l'événement…</t>
  </si>
  <si>
    <t>Public debout : spectacle avec public dynamique, dance, feria, fête votive, carnaval, spectacle de rue, grande parade, rendez-vous sportif sans protection du public par rapport a l'événement…  Evénement se déroulant sur plusieurs jours avec présence du public : hébergement sur site ou à proximité.</t>
  </si>
  <si>
    <t>Activité du rassemblement</t>
  </si>
  <si>
    <t>Caractéristiqued de l'environnement ou de l'accessibilité du site</t>
  </si>
  <si>
    <t>Structures permanentes : Batiment, salle "en dure", …</t>
  </si>
  <si>
    <t>Voies publiques, rues, … avec accés dégagés</t>
  </si>
  <si>
    <t>Conditions d'accés aisés</t>
  </si>
  <si>
    <t>Bonne</t>
  </si>
  <si>
    <t>Structures non permanentes : gradins, tribunes, chapiteaux, …</t>
  </si>
  <si>
    <t>Espaces naturels : surface inférieur ou égale à 2 hectares</t>
  </si>
  <si>
    <t>Terrain en pente sur plus de 100 métres</t>
  </si>
  <si>
    <t>Espaces naturels : de 2 ha à 5 hectares</t>
  </si>
  <si>
    <t>Brancardage : de 150 m à 300 métres</t>
  </si>
  <si>
    <t>Brancardage : de 300 m à 600 métres</t>
  </si>
  <si>
    <t>Terrain en pente sur plus de 150 métres</t>
  </si>
  <si>
    <t>Autres conditions d'accés difficiles</t>
  </si>
  <si>
    <t>Mauvaise</t>
  </si>
  <si>
    <t>Brancardage : longueur supérieur 600 métres</t>
  </si>
  <si>
    <t>Espaces naturels : superiéur à 5 hectares</t>
  </si>
  <si>
    <t>Terrain en pente sur plus de 300 métres</t>
  </si>
  <si>
    <t>Autres conditions d'accés difficiles : Tulus, escaliers, voies d'accés non carrossables, …</t>
  </si>
  <si>
    <t>Progression des secours rendue difficile par la présence du public</t>
  </si>
  <si>
    <t>De 20 à 30 min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</si>
</sst>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0"/>
      <name val="Arial"/>
      <family val="2"/>
    </font>
    <font>
      <sz val="10"/>
      <color indexed="22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indexed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shrinkToFit="1"/>
    </xf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4" fillId="33" borderId="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justify" wrapText="1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0" fillId="33" borderId="27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36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0" borderId="27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left" vertical="center"/>
    </xf>
    <xf numFmtId="0" fontId="0" fillId="33" borderId="39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0" fillId="33" borderId="38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21</xdr:row>
      <xdr:rowOff>133350</xdr:rowOff>
    </xdr:from>
    <xdr:to>
      <xdr:col>4</xdr:col>
      <xdr:colOff>333375</xdr:colOff>
      <xdr:row>21</xdr:row>
      <xdr:rowOff>133350</xdr:rowOff>
    </xdr:to>
    <xdr:sp>
      <xdr:nvSpPr>
        <xdr:cNvPr id="1" name="Line 1"/>
        <xdr:cNvSpPr>
          <a:spLocks/>
        </xdr:cNvSpPr>
      </xdr:nvSpPr>
      <xdr:spPr>
        <a:xfrm>
          <a:off x="3438525" y="5543550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104775</xdr:rowOff>
    </xdr:from>
    <xdr:to>
      <xdr:col>11</xdr:col>
      <xdr:colOff>914400</xdr:colOff>
      <xdr:row>17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943850" y="4752975"/>
          <a:ext cx="9144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1333500</xdr:colOff>
      <xdr:row>15</xdr:row>
      <xdr:rowOff>180975</xdr:rowOff>
    </xdr:from>
    <xdr:to>
      <xdr:col>11</xdr:col>
      <xdr:colOff>28575</xdr:colOff>
      <xdr:row>19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7886700" y="4448175"/>
          <a:ext cx="85725" cy="590550"/>
        </a:xfrm>
        <a:prstGeom prst="leftBracke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942975</xdr:colOff>
      <xdr:row>15</xdr:row>
      <xdr:rowOff>180975</xdr:rowOff>
    </xdr:from>
    <xdr:to>
      <xdr:col>11</xdr:col>
      <xdr:colOff>1019175</xdr:colOff>
      <xdr:row>19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8886825" y="4448175"/>
          <a:ext cx="76200" cy="590550"/>
        </a:xfrm>
        <a:prstGeom prst="rightBracke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="75" zoomScaleNormal="75" zoomScalePageLayoutView="0" workbookViewId="0" topLeftCell="A4">
      <selection activeCell="E10" sqref="E10"/>
    </sheetView>
  </sheetViews>
  <sheetFormatPr defaultColWidth="11.421875" defaultRowHeight="12.75"/>
  <cols>
    <col min="1" max="1" width="7.8515625" style="37" customWidth="1"/>
    <col min="2" max="2" width="2.7109375" style="33" customWidth="1"/>
    <col min="3" max="3" width="41.421875" style="33" customWidth="1"/>
    <col min="4" max="4" width="4.7109375" style="33" customWidth="1"/>
    <col min="5" max="5" width="18.28125" style="35" customWidth="1"/>
    <col min="6" max="6" width="2.7109375" style="33" customWidth="1"/>
    <col min="7" max="7" width="8.00390625" style="38" customWidth="1"/>
    <col min="8" max="8" width="2.140625" style="37" customWidth="1"/>
    <col min="9" max="9" width="5.00390625" style="37" customWidth="1"/>
    <col min="10" max="10" width="16.7109375" style="33" customWidth="1"/>
    <col min="11" max="17" width="11.421875" style="33" customWidth="1"/>
    <col min="18" max="18" width="3.421875" style="37" customWidth="1"/>
    <col min="19" max="16384" width="11.421875" style="33" customWidth="1"/>
  </cols>
  <sheetData>
    <row r="1" spans="2:17" ht="12.75" customHeight="1">
      <c r="B1" s="83" t="s">
        <v>0</v>
      </c>
      <c r="C1" s="84"/>
      <c r="D1" s="84"/>
      <c r="E1" s="84"/>
      <c r="F1" s="85"/>
      <c r="J1" s="37"/>
      <c r="K1" s="37"/>
      <c r="L1" s="37"/>
      <c r="M1" s="37"/>
      <c r="N1" s="37"/>
      <c r="O1" s="37"/>
      <c r="P1" s="37"/>
      <c r="Q1" s="37"/>
    </row>
    <row r="2" spans="2:17" ht="12.75" customHeight="1">
      <c r="B2" s="86"/>
      <c r="C2" s="87"/>
      <c r="D2" s="87"/>
      <c r="E2" s="87"/>
      <c r="F2" s="88"/>
      <c r="J2" s="37"/>
      <c r="K2" s="37"/>
      <c r="L2" s="37"/>
      <c r="M2" s="37"/>
      <c r="N2" s="37"/>
      <c r="O2" s="37"/>
      <c r="P2" s="37"/>
      <c r="Q2" s="37"/>
    </row>
    <row r="3" spans="2:17" ht="12.75" customHeight="1">
      <c r="B3" s="86"/>
      <c r="C3" s="87"/>
      <c r="D3" s="87"/>
      <c r="E3" s="87"/>
      <c r="F3" s="88"/>
      <c r="J3" s="37"/>
      <c r="K3" s="37"/>
      <c r="L3" s="37"/>
      <c r="M3" s="37"/>
      <c r="N3" s="37"/>
      <c r="O3" s="37"/>
      <c r="P3" s="37"/>
      <c r="Q3" s="37"/>
    </row>
    <row r="4" spans="2:17" ht="23.25" customHeight="1" thickBot="1">
      <c r="B4" s="89"/>
      <c r="C4" s="90"/>
      <c r="D4" s="90"/>
      <c r="E4" s="90"/>
      <c r="F4" s="91"/>
      <c r="J4" s="37"/>
      <c r="K4" s="37"/>
      <c r="L4" s="37"/>
      <c r="M4" s="37"/>
      <c r="N4" s="37"/>
      <c r="O4" s="37"/>
      <c r="P4" s="37"/>
      <c r="Q4" s="37"/>
    </row>
    <row r="5" spans="2:17" ht="13.5" thickBot="1">
      <c r="B5" s="37"/>
      <c r="C5" s="37"/>
      <c r="D5" s="37"/>
      <c r="E5" s="39"/>
      <c r="F5" s="37"/>
      <c r="J5" s="37"/>
      <c r="K5" s="37"/>
      <c r="L5" s="37"/>
      <c r="M5" s="37"/>
      <c r="N5" s="37"/>
      <c r="O5" s="37"/>
      <c r="P5" s="37"/>
      <c r="Q5" s="37"/>
    </row>
    <row r="6" spans="2:17" ht="13.5" thickBot="1">
      <c r="B6" s="68" t="s">
        <v>1</v>
      </c>
      <c r="C6" s="69"/>
      <c r="D6" s="69"/>
      <c r="E6" s="69"/>
      <c r="F6" s="70"/>
      <c r="I6" s="41"/>
      <c r="J6" s="103" t="s">
        <v>80</v>
      </c>
      <c r="K6" s="104"/>
      <c r="L6" s="104"/>
      <c r="M6" s="104"/>
      <c r="N6" s="104"/>
      <c r="O6" s="104"/>
      <c r="P6" s="104"/>
      <c r="Q6" s="105"/>
    </row>
    <row r="7" spans="2:17" ht="13.5" thickBot="1">
      <c r="B7" s="44"/>
      <c r="C7" s="45"/>
      <c r="D7" s="45"/>
      <c r="E7" s="46"/>
      <c r="F7" s="47"/>
      <c r="I7" s="42"/>
      <c r="J7" s="106"/>
      <c r="K7" s="107"/>
      <c r="L7" s="107"/>
      <c r="M7" s="107"/>
      <c r="N7" s="107"/>
      <c r="O7" s="107"/>
      <c r="P7" s="107"/>
      <c r="Q7" s="108"/>
    </row>
    <row r="8" spans="2:17" ht="13.5" thickBot="1">
      <c r="B8" s="43"/>
      <c r="C8" s="48" t="s">
        <v>2</v>
      </c>
      <c r="D8" s="42"/>
      <c r="E8" s="49">
        <v>1500</v>
      </c>
      <c r="F8" s="50"/>
      <c r="I8" s="42"/>
      <c r="J8" s="36" t="s">
        <v>70</v>
      </c>
      <c r="K8" s="81" t="s">
        <v>75</v>
      </c>
      <c r="L8" s="81"/>
      <c r="M8" s="81"/>
      <c r="N8" s="81"/>
      <c r="O8" s="81"/>
      <c r="P8" s="81"/>
      <c r="Q8" s="82"/>
    </row>
    <row r="9" spans="2:17" ht="12.75" customHeight="1" thickBot="1">
      <c r="B9" s="43"/>
      <c r="C9" s="48" t="s">
        <v>3</v>
      </c>
      <c r="D9" s="42"/>
      <c r="E9" s="51" t="s">
        <v>74</v>
      </c>
      <c r="F9" s="50"/>
      <c r="G9" s="38">
        <f>IF(E9="Assis",0.25,IF(E9="Debout",0.3,IF(E9="Debout statique",0.35,IF(E9="Debout dynamique",0.4,0))))</f>
        <v>0.4</v>
      </c>
      <c r="I9" s="42"/>
      <c r="J9" s="36" t="s">
        <v>72</v>
      </c>
      <c r="K9" s="113" t="s">
        <v>77</v>
      </c>
      <c r="L9" s="81"/>
      <c r="M9" s="81"/>
      <c r="N9" s="81"/>
      <c r="O9" s="81"/>
      <c r="P9" s="81"/>
      <c r="Q9" s="82"/>
    </row>
    <row r="10" spans="2:17" ht="12.75">
      <c r="B10" s="43"/>
      <c r="C10" s="48" t="s">
        <v>4</v>
      </c>
      <c r="D10" s="42"/>
      <c r="E10" s="51" t="s">
        <v>94</v>
      </c>
      <c r="F10" s="50"/>
      <c r="G10" s="38">
        <f>IF(E10="Tres bonne",0.25,IF(E10="Bonne",0.3,IF(E10="moyenne",0.35,IF(E10="Mauvaise",0.4,0))))</f>
        <v>0.4</v>
      </c>
      <c r="J10" s="120" t="s">
        <v>73</v>
      </c>
      <c r="K10" s="114" t="s">
        <v>78</v>
      </c>
      <c r="L10" s="115"/>
      <c r="M10" s="115"/>
      <c r="N10" s="115"/>
      <c r="O10" s="115"/>
      <c r="P10" s="115"/>
      <c r="Q10" s="116"/>
    </row>
    <row r="11" spans="2:17" ht="13.5" thickBot="1">
      <c r="B11" s="43"/>
      <c r="C11" s="48" t="s">
        <v>5</v>
      </c>
      <c r="D11" s="42"/>
      <c r="E11" s="51" t="s">
        <v>100</v>
      </c>
      <c r="F11" s="50"/>
      <c r="G11" s="38">
        <f>IF(E11="Moins de 10 min",0.25,IF(E11="De 10 à 20 min",0.3,IF(E11="De 20 à 30 min",0.35,IF(E11="Plus de 30 min",0.4,0))))</f>
        <v>0.35</v>
      </c>
      <c r="J11" s="121"/>
      <c r="K11" s="117"/>
      <c r="L11" s="118"/>
      <c r="M11" s="118"/>
      <c r="N11" s="118"/>
      <c r="O11" s="118"/>
      <c r="P11" s="118"/>
      <c r="Q11" s="119"/>
    </row>
    <row r="12" spans="2:17" ht="13.5" thickBot="1">
      <c r="B12" s="52"/>
      <c r="C12" s="53"/>
      <c r="D12" s="53"/>
      <c r="E12" s="54"/>
      <c r="F12" s="55"/>
      <c r="J12" s="120" t="s">
        <v>74</v>
      </c>
      <c r="K12" s="97" t="s">
        <v>79</v>
      </c>
      <c r="L12" s="98"/>
      <c r="M12" s="98"/>
      <c r="N12" s="98"/>
      <c r="O12" s="98"/>
      <c r="P12" s="98"/>
      <c r="Q12" s="99"/>
    </row>
    <row r="13" spans="2:17" ht="13.5" thickBot="1">
      <c r="B13" s="37"/>
      <c r="C13" s="37"/>
      <c r="D13" s="37"/>
      <c r="E13" s="39"/>
      <c r="F13" s="37"/>
      <c r="J13" s="122"/>
      <c r="K13" s="97"/>
      <c r="L13" s="98"/>
      <c r="M13" s="98"/>
      <c r="N13" s="98"/>
      <c r="O13" s="98"/>
      <c r="P13" s="98"/>
      <c r="Q13" s="99"/>
    </row>
    <row r="14" spans="2:17" ht="13.5" thickBot="1">
      <c r="B14" s="68" t="s">
        <v>6</v>
      </c>
      <c r="C14" s="69"/>
      <c r="D14" s="69"/>
      <c r="E14" s="69"/>
      <c r="F14" s="70"/>
      <c r="J14" s="121"/>
      <c r="K14" s="100"/>
      <c r="L14" s="101"/>
      <c r="M14" s="101"/>
      <c r="N14" s="101"/>
      <c r="O14" s="101"/>
      <c r="P14" s="101"/>
      <c r="Q14" s="102"/>
    </row>
    <row r="15" spans="2:17" ht="12.75">
      <c r="B15" s="44"/>
      <c r="C15" s="45"/>
      <c r="D15" s="45"/>
      <c r="E15" s="46"/>
      <c r="F15" s="47"/>
      <c r="J15" s="37"/>
      <c r="K15" s="37"/>
      <c r="L15" s="37"/>
      <c r="M15" s="37"/>
      <c r="N15" s="37"/>
      <c r="O15" s="37"/>
      <c r="P15" s="37"/>
      <c r="Q15" s="37"/>
    </row>
    <row r="16" spans="2:17" ht="13.5" thickBot="1">
      <c r="B16" s="43"/>
      <c r="C16" s="48" t="s">
        <v>7</v>
      </c>
      <c r="D16" s="42"/>
      <c r="E16" s="56">
        <f>SUM(G9:G11)</f>
        <v>1.15</v>
      </c>
      <c r="F16" s="50"/>
      <c r="J16" s="37"/>
      <c r="K16" s="37"/>
      <c r="L16" s="37"/>
      <c r="M16" s="37"/>
      <c r="N16" s="37"/>
      <c r="O16" s="37"/>
      <c r="P16" s="37"/>
      <c r="Q16" s="37"/>
    </row>
    <row r="17" spans="2:17" ht="12.75">
      <c r="B17" s="43"/>
      <c r="C17" s="48" t="s">
        <v>8</v>
      </c>
      <c r="D17" s="42"/>
      <c r="E17" s="57">
        <f>IF(E8&lt;=100000,E8,100000+((E8-100000)/2))</f>
        <v>1500</v>
      </c>
      <c r="F17" s="50"/>
      <c r="J17" s="103" t="s">
        <v>81</v>
      </c>
      <c r="K17" s="104"/>
      <c r="L17" s="104"/>
      <c r="M17" s="104"/>
      <c r="N17" s="104"/>
      <c r="O17" s="104"/>
      <c r="P17" s="104"/>
      <c r="Q17" s="105"/>
    </row>
    <row r="18" spans="2:17" ht="13.5" thickBot="1">
      <c r="B18" s="43"/>
      <c r="C18" s="58" t="s">
        <v>9</v>
      </c>
      <c r="D18" s="42"/>
      <c r="E18" s="59">
        <f>E16*E17/1000</f>
        <v>1.7249999999999999</v>
      </c>
      <c r="F18" s="50"/>
      <c r="J18" s="106"/>
      <c r="K18" s="107"/>
      <c r="L18" s="107"/>
      <c r="M18" s="107"/>
      <c r="N18" s="107"/>
      <c r="O18" s="107"/>
      <c r="P18" s="107"/>
      <c r="Q18" s="108"/>
    </row>
    <row r="19" spans="2:17" ht="13.5" thickBot="1">
      <c r="B19" s="52"/>
      <c r="C19" s="53"/>
      <c r="D19" s="53"/>
      <c r="E19" s="54"/>
      <c r="F19" s="55"/>
      <c r="J19" s="78" t="s">
        <v>76</v>
      </c>
      <c r="K19" s="94" t="s">
        <v>82</v>
      </c>
      <c r="L19" s="95"/>
      <c r="M19" s="95"/>
      <c r="N19" s="95"/>
      <c r="O19" s="95"/>
      <c r="P19" s="95"/>
      <c r="Q19" s="96"/>
    </row>
    <row r="20" spans="2:17" ht="13.5" thickBot="1">
      <c r="B20" s="37"/>
      <c r="C20" s="37"/>
      <c r="D20" s="37"/>
      <c r="E20" s="39"/>
      <c r="F20" s="37"/>
      <c r="J20" s="79"/>
      <c r="K20" s="71" t="s">
        <v>83</v>
      </c>
      <c r="L20" s="72"/>
      <c r="M20" s="72"/>
      <c r="N20" s="72"/>
      <c r="O20" s="72"/>
      <c r="P20" s="72"/>
      <c r="Q20" s="73"/>
    </row>
    <row r="21" spans="2:17" ht="13.5" thickBot="1">
      <c r="B21" s="68" t="s">
        <v>10</v>
      </c>
      <c r="C21" s="69"/>
      <c r="D21" s="69"/>
      <c r="E21" s="69"/>
      <c r="F21" s="70"/>
      <c r="J21" s="80"/>
      <c r="K21" s="74" t="s">
        <v>84</v>
      </c>
      <c r="L21" s="75"/>
      <c r="M21" s="75"/>
      <c r="N21" s="75"/>
      <c r="O21" s="75"/>
      <c r="P21" s="75"/>
      <c r="Q21" s="76"/>
    </row>
    <row r="22" spans="2:17" ht="12.75">
      <c r="B22" s="44"/>
      <c r="C22" s="45"/>
      <c r="D22" s="45"/>
      <c r="E22" s="46"/>
      <c r="F22" s="47"/>
      <c r="J22" s="78" t="s">
        <v>85</v>
      </c>
      <c r="K22" s="123" t="s">
        <v>86</v>
      </c>
      <c r="L22" s="124"/>
      <c r="M22" s="124"/>
      <c r="N22" s="124"/>
      <c r="O22" s="124"/>
      <c r="P22" s="124"/>
      <c r="Q22" s="125"/>
    </row>
    <row r="23" spans="2:17" ht="12.75">
      <c r="B23" s="43"/>
      <c r="C23" s="61" t="s">
        <v>11</v>
      </c>
      <c r="D23" s="62"/>
      <c r="E23" s="63">
        <f>IF(E18&lt;=0.25,"Non obligatoire",IF(AND(E18&lt;=1.125,E11="Plus de 30 min"),4,IF(E18&lt;=1.125,2,IF(E18&lt;=4,4,FLOOR(ROUNDUP(E18,0)+1,2)))))</f>
        <v>4</v>
      </c>
      <c r="F23" s="50"/>
      <c r="J23" s="79"/>
      <c r="K23" s="109" t="s">
        <v>87</v>
      </c>
      <c r="L23" s="92"/>
      <c r="M23" s="92"/>
      <c r="N23" s="92"/>
      <c r="O23" s="92"/>
      <c r="P23" s="92"/>
      <c r="Q23" s="93"/>
    </row>
    <row r="24" spans="2:17" ht="12.75">
      <c r="B24" s="43"/>
      <c r="C24" s="42"/>
      <c r="D24" s="42"/>
      <c r="E24" s="60"/>
      <c r="F24" s="50"/>
      <c r="J24" s="79"/>
      <c r="K24" s="109" t="s">
        <v>90</v>
      </c>
      <c r="L24" s="92"/>
      <c r="M24" s="92"/>
      <c r="N24" s="92"/>
      <c r="O24" s="92"/>
      <c r="P24" s="92"/>
      <c r="Q24" s="93"/>
    </row>
    <row r="25" spans="2:17" ht="13.5" thickBot="1">
      <c r="B25" s="43"/>
      <c r="C25" s="61" t="s">
        <v>12</v>
      </c>
      <c r="D25" s="62"/>
      <c r="E25" s="63" t="str">
        <f>IF(E18&lt;0.25,"Non obligatoire",IF(AND(E18&lt;=1.125,E11="Plus de 30 min"),"DPS-PE",IF(E18&lt;=1.125,"PAPS",IF(E18&lt;=12,"DPS-PE",IF(E18&lt;=36,"DPS-ME","DPS-GE")))))</f>
        <v>DPS-PE</v>
      </c>
      <c r="F25" s="50"/>
      <c r="J25" s="80"/>
      <c r="K25" s="126" t="s">
        <v>88</v>
      </c>
      <c r="L25" s="127"/>
      <c r="M25" s="127"/>
      <c r="N25" s="127"/>
      <c r="O25" s="127"/>
      <c r="P25" s="127"/>
      <c r="Q25" s="128"/>
    </row>
    <row r="26" spans="2:18" ht="12.75">
      <c r="B26" s="43"/>
      <c r="C26" s="42"/>
      <c r="D26" s="42"/>
      <c r="E26" s="60"/>
      <c r="F26" s="50"/>
      <c r="J26" s="78" t="s">
        <v>71</v>
      </c>
      <c r="K26" s="109" t="s">
        <v>89</v>
      </c>
      <c r="L26" s="92"/>
      <c r="M26" s="92"/>
      <c r="N26" s="92"/>
      <c r="O26" s="92"/>
      <c r="P26" s="92"/>
      <c r="Q26" s="93"/>
      <c r="R26" s="43"/>
    </row>
    <row r="27" spans="2:17" ht="12.75">
      <c r="B27" s="43"/>
      <c r="C27" s="64" t="s">
        <v>13</v>
      </c>
      <c r="D27" s="62"/>
      <c r="E27" s="65">
        <f>IF(E28&lt;2,0,ROUNDUP(E28/3,0))</f>
        <v>0</v>
      </c>
      <c r="F27" s="50"/>
      <c r="J27" s="79"/>
      <c r="K27" s="109" t="s">
        <v>91</v>
      </c>
      <c r="L27" s="92"/>
      <c r="M27" s="92"/>
      <c r="N27" s="92"/>
      <c r="O27" s="92"/>
      <c r="P27" s="92"/>
      <c r="Q27" s="93"/>
    </row>
    <row r="28" spans="2:17" ht="12.75">
      <c r="B28" s="43"/>
      <c r="C28" s="64" t="s">
        <v>14</v>
      </c>
      <c r="D28" s="62"/>
      <c r="E28" s="65">
        <f>IF(OR(E31=1,E23="Non obligatoire"),0,IF(E23&gt;2,ROUNDUP(E23/12,0),0))</f>
        <v>1</v>
      </c>
      <c r="F28" s="50"/>
      <c r="J28" s="79"/>
      <c r="K28" s="109" t="s">
        <v>92</v>
      </c>
      <c r="L28" s="92"/>
      <c r="M28" s="92"/>
      <c r="N28" s="92"/>
      <c r="O28" s="92"/>
      <c r="P28" s="92"/>
      <c r="Q28" s="93"/>
    </row>
    <row r="29" spans="2:17" ht="13.5" thickBot="1">
      <c r="B29" s="43"/>
      <c r="C29" s="64" t="s">
        <v>15</v>
      </c>
      <c r="D29" s="62"/>
      <c r="E29" s="65">
        <f>IF((E23-E28*4)/4&gt;E28,E28,FLOOR((E23-E28*4)/4,1))</f>
        <v>0</v>
      </c>
      <c r="F29" s="50"/>
      <c r="J29" s="80"/>
      <c r="K29" s="110" t="s">
        <v>93</v>
      </c>
      <c r="L29" s="111"/>
      <c r="M29" s="111"/>
      <c r="N29" s="111"/>
      <c r="O29" s="111"/>
      <c r="P29" s="111"/>
      <c r="Q29" s="112"/>
    </row>
    <row r="30" spans="2:17" ht="12.75">
      <c r="B30" s="43"/>
      <c r="C30" s="64" t="s">
        <v>16</v>
      </c>
      <c r="D30" s="62"/>
      <c r="E30" s="65">
        <f>IF(E23&lt;=2,0,(E23-E28*4-E29*4)/2)</f>
        <v>0</v>
      </c>
      <c r="F30" s="50"/>
      <c r="J30" s="78" t="s">
        <v>94</v>
      </c>
      <c r="K30" s="92" t="s">
        <v>96</v>
      </c>
      <c r="L30" s="92"/>
      <c r="M30" s="92"/>
      <c r="N30" s="92"/>
      <c r="O30" s="92"/>
      <c r="P30" s="92"/>
      <c r="Q30" s="93"/>
    </row>
    <row r="31" spans="2:17" ht="12.75">
      <c r="B31" s="43"/>
      <c r="C31" s="64" t="s">
        <v>17</v>
      </c>
      <c r="D31" s="62"/>
      <c r="E31" s="65">
        <f>IF(AND(E18&gt;0.25,E18&lt;=1.125,G11&lt;0.35),1,0)</f>
        <v>0</v>
      </c>
      <c r="F31" s="50"/>
      <c r="J31" s="79"/>
      <c r="K31" s="92" t="s">
        <v>95</v>
      </c>
      <c r="L31" s="92"/>
      <c r="M31" s="92"/>
      <c r="N31" s="92"/>
      <c r="O31" s="92"/>
      <c r="P31" s="92"/>
      <c r="Q31" s="93"/>
    </row>
    <row r="32" spans="2:17" ht="12.75">
      <c r="B32" s="43"/>
      <c r="C32" s="42"/>
      <c r="D32" s="42"/>
      <c r="E32" s="60"/>
      <c r="F32" s="50"/>
      <c r="J32" s="79"/>
      <c r="K32" s="92" t="s">
        <v>97</v>
      </c>
      <c r="L32" s="92"/>
      <c r="M32" s="92"/>
      <c r="N32" s="92"/>
      <c r="O32" s="92"/>
      <c r="P32" s="92"/>
      <c r="Q32" s="93"/>
    </row>
    <row r="33" spans="2:17" ht="12.75">
      <c r="B33" s="43"/>
      <c r="C33" s="64" t="s">
        <v>18</v>
      </c>
      <c r="D33" s="62"/>
      <c r="E33" s="65">
        <f>E28</f>
        <v>1</v>
      </c>
      <c r="F33" s="50"/>
      <c r="J33" s="79"/>
      <c r="K33" s="71" t="s">
        <v>98</v>
      </c>
      <c r="L33" s="72"/>
      <c r="M33" s="72"/>
      <c r="N33" s="72"/>
      <c r="O33" s="72"/>
      <c r="P33" s="72"/>
      <c r="Q33" s="77"/>
    </row>
    <row r="34" spans="2:17" ht="13.5" thickBot="1">
      <c r="B34" s="43"/>
      <c r="C34" s="64" t="s">
        <v>19</v>
      </c>
      <c r="D34" s="62"/>
      <c r="E34" s="65">
        <f>E30</f>
        <v>0</v>
      </c>
      <c r="F34" s="50"/>
      <c r="J34" s="80"/>
      <c r="K34" s="74" t="s">
        <v>99</v>
      </c>
      <c r="L34" s="75"/>
      <c r="M34" s="75"/>
      <c r="N34" s="75"/>
      <c r="O34" s="75"/>
      <c r="P34" s="75"/>
      <c r="Q34" s="76"/>
    </row>
    <row r="35" spans="2:17" ht="12.75">
      <c r="B35" s="43"/>
      <c r="C35" s="64" t="s">
        <v>20</v>
      </c>
      <c r="D35" s="62"/>
      <c r="E35" s="65">
        <f>E31+E29</f>
        <v>0</v>
      </c>
      <c r="F35" s="50"/>
      <c r="J35" s="37"/>
      <c r="K35" s="37"/>
      <c r="L35" s="37"/>
      <c r="M35" s="37"/>
      <c r="N35" s="37"/>
      <c r="O35" s="37"/>
      <c r="P35" s="37"/>
      <c r="Q35" s="37"/>
    </row>
    <row r="36" spans="2:17" ht="12.75">
      <c r="B36" s="43"/>
      <c r="C36" s="42"/>
      <c r="D36" s="42"/>
      <c r="E36" s="60"/>
      <c r="F36" s="50"/>
      <c r="J36" s="37"/>
      <c r="K36" s="37"/>
      <c r="L36" s="37"/>
      <c r="M36" s="37"/>
      <c r="N36" s="37"/>
      <c r="O36" s="37"/>
      <c r="P36" s="37"/>
      <c r="Q36" s="37"/>
    </row>
    <row r="37" spans="2:17" ht="12.75">
      <c r="B37" s="43"/>
      <c r="C37" s="64" t="s">
        <v>21</v>
      </c>
      <c r="D37" s="62"/>
      <c r="E37" s="65">
        <f>IF(E27&lt;2,0,1)</f>
        <v>0</v>
      </c>
      <c r="F37" s="50"/>
      <c r="J37" s="37"/>
      <c r="K37" s="37"/>
      <c r="L37" s="37"/>
      <c r="M37" s="37"/>
      <c r="N37" s="37"/>
      <c r="O37" s="37"/>
      <c r="P37" s="37"/>
      <c r="Q37" s="37"/>
    </row>
    <row r="38" spans="2:17" ht="15">
      <c r="B38" s="43"/>
      <c r="C38" s="64" t="s">
        <v>22</v>
      </c>
      <c r="D38" s="62"/>
      <c r="E38" s="65">
        <f>E27</f>
        <v>0</v>
      </c>
      <c r="F38" s="50"/>
      <c r="I38" s="66"/>
      <c r="J38" s="37"/>
      <c r="K38" s="37"/>
      <c r="L38" s="37"/>
      <c r="M38" s="37"/>
      <c r="N38" s="37"/>
      <c r="O38" s="37"/>
      <c r="P38" s="37"/>
      <c r="Q38" s="37"/>
    </row>
    <row r="39" spans="2:17" ht="12.75">
      <c r="B39" s="43"/>
      <c r="C39" s="64" t="s">
        <v>23</v>
      </c>
      <c r="D39" s="62"/>
      <c r="E39" s="65">
        <f>E28</f>
        <v>1</v>
      </c>
      <c r="F39" s="50"/>
      <c r="J39" s="37"/>
      <c r="K39" s="37"/>
      <c r="L39" s="37"/>
      <c r="M39" s="37"/>
      <c r="N39" s="37"/>
      <c r="O39" s="37"/>
      <c r="P39" s="37"/>
      <c r="Q39" s="37"/>
    </row>
    <row r="40" spans="2:17" ht="12.75">
      <c r="B40" s="43"/>
      <c r="C40" s="64" t="s">
        <v>24</v>
      </c>
      <c r="D40" s="62"/>
      <c r="E40" s="65">
        <f>E29</f>
        <v>0</v>
      </c>
      <c r="F40" s="50"/>
      <c r="J40" s="42"/>
      <c r="K40" s="37"/>
      <c r="L40" s="37"/>
      <c r="M40" s="37"/>
      <c r="N40" s="37"/>
      <c r="O40" s="37"/>
      <c r="P40" s="37"/>
      <c r="Q40" s="37"/>
    </row>
    <row r="41" spans="2:17" ht="12.75">
      <c r="B41" s="43"/>
      <c r="C41" s="64" t="s">
        <v>25</v>
      </c>
      <c r="D41" s="62"/>
      <c r="E41" s="65">
        <f>2*E28+2*E29+E30+E31</f>
        <v>2</v>
      </c>
      <c r="F41" s="50"/>
      <c r="J41" s="37"/>
      <c r="K41" s="37"/>
      <c r="L41" s="37"/>
      <c r="M41" s="37"/>
      <c r="N41" s="37"/>
      <c r="O41" s="37"/>
      <c r="P41" s="37"/>
      <c r="Q41" s="37"/>
    </row>
    <row r="42" spans="2:17" ht="12.75">
      <c r="B42" s="43"/>
      <c r="C42" s="64" t="s">
        <v>26</v>
      </c>
      <c r="D42" s="62"/>
      <c r="E42" s="65">
        <f>E28+E29+E30+E31</f>
        <v>1</v>
      </c>
      <c r="F42" s="50"/>
      <c r="J42" s="37"/>
      <c r="K42" s="37"/>
      <c r="L42" s="37"/>
      <c r="M42" s="37"/>
      <c r="N42" s="37"/>
      <c r="O42" s="37"/>
      <c r="P42" s="37"/>
      <c r="Q42" s="37"/>
    </row>
    <row r="43" spans="2:17" ht="12.75">
      <c r="B43" s="43"/>
      <c r="C43" s="64" t="s">
        <v>27</v>
      </c>
      <c r="D43" s="62"/>
      <c r="E43" s="65">
        <f>E28+E29</f>
        <v>1</v>
      </c>
      <c r="F43" s="50"/>
      <c r="J43" s="37"/>
      <c r="K43" s="37"/>
      <c r="L43" s="37"/>
      <c r="M43" s="37"/>
      <c r="N43" s="37"/>
      <c r="O43" s="37"/>
      <c r="P43" s="37"/>
      <c r="Q43" s="37"/>
    </row>
    <row r="44" spans="2:17" ht="12.75">
      <c r="B44" s="43"/>
      <c r="C44" s="64" t="s">
        <v>28</v>
      </c>
      <c r="D44" s="62"/>
      <c r="E44" s="65">
        <f>E28+E29</f>
        <v>1</v>
      </c>
      <c r="F44" s="50"/>
      <c r="J44" s="37"/>
      <c r="K44" s="37"/>
      <c r="L44" s="37"/>
      <c r="M44" s="37"/>
      <c r="N44" s="37"/>
      <c r="O44" s="37"/>
      <c r="P44" s="37"/>
      <c r="Q44" s="37"/>
    </row>
    <row r="45" spans="2:17" ht="12.75">
      <c r="B45" s="43"/>
      <c r="C45" s="64" t="s">
        <v>29</v>
      </c>
      <c r="D45" s="62"/>
      <c r="E45" s="65">
        <f>E27*2</f>
        <v>0</v>
      </c>
      <c r="F45" s="50"/>
      <c r="J45" s="37"/>
      <c r="K45" s="37"/>
      <c r="L45" s="37"/>
      <c r="M45" s="37"/>
      <c r="N45" s="37"/>
      <c r="O45" s="37"/>
      <c r="P45" s="37"/>
      <c r="Q45" s="37"/>
    </row>
    <row r="46" spans="2:17" ht="13.5" thickBot="1">
      <c r="B46" s="52"/>
      <c r="C46" s="53"/>
      <c r="D46" s="53"/>
      <c r="E46" s="54"/>
      <c r="F46" s="55"/>
      <c r="J46" s="37"/>
      <c r="K46" s="37"/>
      <c r="L46" s="37"/>
      <c r="M46" s="37"/>
      <c r="N46" s="37"/>
      <c r="O46" s="37"/>
      <c r="P46" s="37"/>
      <c r="Q46" s="37"/>
    </row>
    <row r="47" spans="1:18" s="34" customFormat="1" ht="45" customHeight="1">
      <c r="A47" s="40"/>
      <c r="B47" s="40"/>
      <c r="C47" s="67" t="s">
        <v>30</v>
      </c>
      <c r="D47" s="67"/>
      <c r="E47" s="67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2:17" ht="12.75">
      <c r="B48" s="37"/>
      <c r="C48" s="37"/>
      <c r="D48" s="37"/>
      <c r="E48" s="39"/>
      <c r="F48" s="37"/>
      <c r="J48" s="37"/>
      <c r="K48" s="37"/>
      <c r="L48" s="37"/>
      <c r="M48" s="37"/>
      <c r="N48" s="37"/>
      <c r="O48" s="37"/>
      <c r="P48" s="37"/>
      <c r="Q48" s="37"/>
    </row>
    <row r="49" spans="2:17" ht="12.75">
      <c r="B49" s="37"/>
      <c r="C49" s="37"/>
      <c r="D49" s="37"/>
      <c r="E49" s="39"/>
      <c r="F49" s="37"/>
      <c r="J49" s="37"/>
      <c r="K49" s="37"/>
      <c r="L49" s="37"/>
      <c r="M49" s="37"/>
      <c r="N49" s="37"/>
      <c r="O49" s="37"/>
      <c r="P49" s="37"/>
      <c r="Q49" s="37"/>
    </row>
    <row r="50" spans="2:17" ht="12.75">
      <c r="B50" s="37"/>
      <c r="C50" s="37"/>
      <c r="D50" s="37"/>
      <c r="E50" s="39"/>
      <c r="F50" s="37"/>
      <c r="J50" s="37"/>
      <c r="K50" s="37"/>
      <c r="L50" s="37"/>
      <c r="M50" s="37"/>
      <c r="N50" s="37"/>
      <c r="O50" s="37"/>
      <c r="P50" s="37"/>
      <c r="Q50" s="37"/>
    </row>
    <row r="51" spans="2:17" ht="12.75">
      <c r="B51" s="37"/>
      <c r="C51" s="37"/>
      <c r="D51" s="37"/>
      <c r="E51" s="39"/>
      <c r="F51" s="37"/>
      <c r="J51" s="37"/>
      <c r="K51" s="37"/>
      <c r="L51" s="37"/>
      <c r="M51" s="37"/>
      <c r="N51" s="37"/>
      <c r="O51" s="37"/>
      <c r="P51" s="37"/>
      <c r="Q51" s="37"/>
    </row>
    <row r="52" spans="2:17" ht="12.75">
      <c r="B52" s="37"/>
      <c r="C52" s="37"/>
      <c r="D52" s="37"/>
      <c r="E52" s="39"/>
      <c r="F52" s="37"/>
      <c r="J52" s="37"/>
      <c r="K52" s="37"/>
      <c r="L52" s="37"/>
      <c r="M52" s="37"/>
      <c r="N52" s="37"/>
      <c r="O52" s="37"/>
      <c r="P52" s="37"/>
      <c r="Q52" s="37"/>
    </row>
    <row r="53" spans="2:17" ht="12.75">
      <c r="B53" s="37"/>
      <c r="C53" s="37"/>
      <c r="D53" s="37"/>
      <c r="E53" s="39"/>
      <c r="F53" s="37"/>
      <c r="J53" s="37"/>
      <c r="K53" s="37"/>
      <c r="L53" s="37"/>
      <c r="M53" s="37"/>
      <c r="N53" s="37"/>
      <c r="O53" s="37"/>
      <c r="P53" s="37"/>
      <c r="Q53" s="37"/>
    </row>
    <row r="54" spans="2:17" ht="12.75">
      <c r="B54" s="37"/>
      <c r="C54" s="37"/>
      <c r="D54" s="37"/>
      <c r="E54" s="39"/>
      <c r="F54" s="37"/>
      <c r="J54" s="37"/>
      <c r="K54" s="37"/>
      <c r="L54" s="37"/>
      <c r="M54" s="37"/>
      <c r="N54" s="37"/>
      <c r="O54" s="37"/>
      <c r="P54" s="37"/>
      <c r="Q54" s="37"/>
    </row>
    <row r="55" spans="2:17" ht="12.75">
      <c r="B55" s="37"/>
      <c r="C55" s="37"/>
      <c r="D55" s="37"/>
      <c r="E55" s="39"/>
      <c r="F55" s="37"/>
      <c r="J55" s="37"/>
      <c r="K55" s="37"/>
      <c r="L55" s="37"/>
      <c r="M55" s="37"/>
      <c r="N55" s="37"/>
      <c r="O55" s="37"/>
      <c r="P55" s="37"/>
      <c r="Q55" s="37"/>
    </row>
    <row r="56" spans="2:17" ht="12.75">
      <c r="B56" s="37"/>
      <c r="C56" s="37"/>
      <c r="D56" s="37"/>
      <c r="E56" s="39"/>
      <c r="F56" s="37"/>
      <c r="J56" s="37"/>
      <c r="K56" s="37"/>
      <c r="L56" s="37"/>
      <c r="M56" s="37"/>
      <c r="N56" s="37"/>
      <c r="O56" s="37"/>
      <c r="P56" s="37"/>
      <c r="Q56" s="37"/>
    </row>
    <row r="57" spans="2:17" ht="12.75">
      <c r="B57" s="37"/>
      <c r="C57" s="37"/>
      <c r="D57" s="37"/>
      <c r="E57" s="39"/>
      <c r="F57" s="37"/>
      <c r="J57" s="37"/>
      <c r="K57" s="37"/>
      <c r="L57" s="37"/>
      <c r="M57" s="37"/>
      <c r="N57" s="37"/>
      <c r="O57" s="37"/>
      <c r="P57" s="37"/>
      <c r="Q57" s="37"/>
    </row>
    <row r="58" spans="2:17" ht="12.75">
      <c r="B58" s="37"/>
      <c r="C58" s="37"/>
      <c r="D58" s="37"/>
      <c r="E58" s="39"/>
      <c r="F58" s="37"/>
      <c r="J58" s="37"/>
      <c r="K58" s="37"/>
      <c r="L58" s="37"/>
      <c r="M58" s="37"/>
      <c r="N58" s="37"/>
      <c r="O58" s="37"/>
      <c r="P58" s="37"/>
      <c r="Q58" s="37"/>
    </row>
    <row r="59" spans="2:17" ht="12.75">
      <c r="B59" s="37"/>
      <c r="C59" s="37"/>
      <c r="D59" s="37"/>
      <c r="E59" s="39"/>
      <c r="F59" s="37"/>
      <c r="J59" s="37"/>
      <c r="K59" s="37"/>
      <c r="L59" s="37"/>
      <c r="M59" s="37"/>
      <c r="N59" s="37"/>
      <c r="O59" s="37"/>
      <c r="P59" s="37"/>
      <c r="Q59" s="37"/>
    </row>
    <row r="60" spans="2:6" ht="12.75">
      <c r="B60" s="37"/>
      <c r="C60" s="37"/>
      <c r="D60" s="37"/>
      <c r="E60" s="39"/>
      <c r="F60" s="37"/>
    </row>
  </sheetData>
  <sheetProtection/>
  <mergeCells count="33">
    <mergeCell ref="K32:Q32"/>
    <mergeCell ref="J22:J25"/>
    <mergeCell ref="K22:Q22"/>
    <mergeCell ref="K23:Q23"/>
    <mergeCell ref="K24:Q24"/>
    <mergeCell ref="K25:Q25"/>
    <mergeCell ref="K27:Q27"/>
    <mergeCell ref="K10:Q11"/>
    <mergeCell ref="J6:Q7"/>
    <mergeCell ref="J10:J11"/>
    <mergeCell ref="J12:J14"/>
    <mergeCell ref="J26:J29"/>
    <mergeCell ref="K26:Q26"/>
    <mergeCell ref="B1:F4"/>
    <mergeCell ref="K31:Q31"/>
    <mergeCell ref="K19:Q19"/>
    <mergeCell ref="J19:J21"/>
    <mergeCell ref="K12:Q14"/>
    <mergeCell ref="J17:Q18"/>
    <mergeCell ref="K28:Q28"/>
    <mergeCell ref="K29:Q29"/>
    <mergeCell ref="K30:Q30"/>
    <mergeCell ref="K9:Q9"/>
    <mergeCell ref="C47:E47"/>
    <mergeCell ref="B21:F21"/>
    <mergeCell ref="B14:F14"/>
    <mergeCell ref="B6:F6"/>
    <mergeCell ref="K20:Q20"/>
    <mergeCell ref="K21:Q21"/>
    <mergeCell ref="K33:Q33"/>
    <mergeCell ref="J30:J34"/>
    <mergeCell ref="K34:Q34"/>
    <mergeCell ref="K8:Q8"/>
  </mergeCells>
  <dataValidations count="3">
    <dataValidation type="list" allowBlank="1" showErrorMessage="1" sqref="E9">
      <formula1>"Assis,Debout,Debout statique,Debout dynamique"</formula1>
      <formula2>0</formula2>
    </dataValidation>
    <dataValidation type="list" allowBlank="1" showErrorMessage="1" sqref="E10">
      <formula1>"Tres bonne,Bonne,Moyenne,Mauvaise"</formula1>
      <formula2>0</formula2>
    </dataValidation>
    <dataValidation type="list" allowBlank="1" showErrorMessage="1" sqref="E11">
      <formula1>"Moins de 10 min,De 10 à 20 min, De 20 à 30 min,Plus de 30 min"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75" zoomScaleNormal="75" zoomScalePageLayoutView="0" workbookViewId="0" topLeftCell="A3">
      <selection activeCell="D3" sqref="D3"/>
    </sheetView>
  </sheetViews>
  <sheetFormatPr defaultColWidth="11.421875" defaultRowHeight="12.75"/>
  <cols>
    <col min="1" max="1" width="14.57421875" style="0" customWidth="1"/>
    <col min="2" max="5" width="12.7109375" style="0" customWidth="1"/>
    <col min="6" max="6" width="2.7109375" style="0" customWidth="1"/>
    <col min="7" max="7" width="12.8515625" style="0" customWidth="1"/>
    <col min="8" max="8" width="2.57421875" style="0" customWidth="1"/>
    <col min="10" max="10" width="3.28125" style="0" customWidth="1"/>
    <col min="11" max="11" width="20.8515625" style="0" customWidth="1"/>
    <col min="12" max="12" width="34.28125" style="0" customWidth="1"/>
  </cols>
  <sheetData>
    <row r="1" spans="1:12" ht="24">
      <c r="A1" s="129" t="s">
        <v>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1" ht="3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7" customFormat="1" ht="24.75" customHeight="1">
      <c r="A4" s="4"/>
      <c r="B4" s="130" t="s">
        <v>32</v>
      </c>
      <c r="C4" s="130"/>
      <c r="D4" s="130"/>
      <c r="E4" s="130"/>
      <c r="F4" s="6"/>
      <c r="I4" s="6"/>
      <c r="K4" s="5" t="s">
        <v>33</v>
      </c>
      <c r="L4" s="4" t="s">
        <v>12</v>
      </c>
    </row>
    <row r="5" spans="1:12" s="7" customFormat="1" ht="24.75" customHeight="1">
      <c r="A5" s="4"/>
      <c r="B5" s="5" t="s">
        <v>34</v>
      </c>
      <c r="C5" s="5" t="s">
        <v>35</v>
      </c>
      <c r="D5" s="5" t="s">
        <v>36</v>
      </c>
      <c r="E5" s="5" t="s">
        <v>37</v>
      </c>
      <c r="F5" s="6"/>
      <c r="I5" s="6"/>
      <c r="K5" s="8" t="s">
        <v>38</v>
      </c>
      <c r="L5" s="9" t="s">
        <v>39</v>
      </c>
    </row>
    <row r="6" spans="1:12" s="7" customFormat="1" ht="24.75" customHeight="1">
      <c r="A6" s="4"/>
      <c r="B6" s="5">
        <v>0.25</v>
      </c>
      <c r="C6" s="5">
        <v>0.3</v>
      </c>
      <c r="D6" s="5">
        <v>0.35</v>
      </c>
      <c r="E6" s="5">
        <v>0.4</v>
      </c>
      <c r="F6" s="6"/>
      <c r="I6" s="6"/>
      <c r="K6" s="5" t="s">
        <v>40</v>
      </c>
      <c r="L6" s="9" t="s">
        <v>41</v>
      </c>
    </row>
    <row r="7" spans="1:12" s="7" customFormat="1" ht="24.75" customHeight="1">
      <c r="A7" s="4" t="s">
        <v>42</v>
      </c>
      <c r="B7" s="10">
        <f>IF(RIS!E9="Assis","X","")</f>
      </c>
      <c r="C7" s="8">
        <f>IF(RIS!E9="Debout","X","")</f>
      </c>
      <c r="D7" s="8">
        <f>IF(RIS!E9="Debout statique","X","")</f>
      </c>
      <c r="E7" s="8" t="str">
        <f>IF(RIS!E9="Debout dynamique","X","")</f>
        <v>X</v>
      </c>
      <c r="F7" s="6"/>
      <c r="I7" s="6"/>
      <c r="K7" s="5" t="s">
        <v>43</v>
      </c>
      <c r="L7" s="9" t="s">
        <v>44</v>
      </c>
    </row>
    <row r="8" spans="1:12" s="7" customFormat="1" ht="24.75" customHeight="1">
      <c r="A8" s="4" t="s">
        <v>45</v>
      </c>
      <c r="B8" s="11">
        <f>IF(RIS!E10="Tres bonne","X","")</f>
      </c>
      <c r="C8" s="11">
        <f>IF(RIS!E10="Bonne","X","")</f>
      </c>
      <c r="D8" s="8">
        <f>IF(RIS!E10="Moyenne","X","")</f>
      </c>
      <c r="E8" s="8" t="str">
        <f>IF(RIS!E10="Mauvaise","X","")</f>
        <v>X</v>
      </c>
      <c r="F8" s="6"/>
      <c r="I8" s="6"/>
      <c r="K8" s="5" t="s">
        <v>46</v>
      </c>
      <c r="L8" s="9" t="s">
        <v>47</v>
      </c>
    </row>
    <row r="9" spans="1:12" s="7" customFormat="1" ht="24.75" customHeight="1">
      <c r="A9" s="4" t="s">
        <v>48</v>
      </c>
      <c r="B9" s="11">
        <f>IF(RIS!E11="Moins de 10 min","X","")</f>
      </c>
      <c r="C9" s="8">
        <f>IF(RIS!E11="De 10 à 20 min","X","")</f>
      </c>
      <c r="D9" s="8">
        <f>IF(RIS!E11=" De 20 à 30 min","X","")</f>
      </c>
      <c r="E9" s="8">
        <f>IF(RIS!E11="Plus de 30 min","X","")</f>
      </c>
      <c r="F9" s="6"/>
      <c r="I9" s="6"/>
      <c r="K9" s="8" t="s">
        <v>49</v>
      </c>
      <c r="L9" s="9" t="s">
        <v>50</v>
      </c>
    </row>
    <row r="10" spans="1:10" ht="1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>
      <c r="A11" s="12"/>
      <c r="B11" s="12"/>
      <c r="C11" s="12"/>
      <c r="D11" s="12"/>
      <c r="E11" s="12"/>
      <c r="G11" s="12"/>
      <c r="H11" s="12"/>
      <c r="I11" s="12"/>
      <c r="J11" s="12"/>
    </row>
    <row r="12" spans="1:11" ht="19.5" customHeight="1">
      <c r="A12" s="13" t="s">
        <v>51</v>
      </c>
      <c r="B12" s="13"/>
      <c r="C12" s="13"/>
      <c r="D12" s="13"/>
      <c r="E12" s="14">
        <f>IF(RIS!E9="Assis",0.25,IF(RIS!E9="Debout",0.3,IF(RIS!E9="Debout statique",0.35,IF(RIS!E9="Debout dynamique",0.4))))</f>
        <v>0.4</v>
      </c>
      <c r="F12" s="15" t="s">
        <v>52</v>
      </c>
      <c r="G12" s="14">
        <f>IF(RIS!E10="Tres bonne",0.25,IF(RIS!E10="Bonne",0.3,IF(RIS!E10="moyenne",0.35,IF(RIS!E10="Mauvaise",0.4,0))))</f>
        <v>0.4</v>
      </c>
      <c r="H12" s="12" t="s">
        <v>52</v>
      </c>
      <c r="I12" s="14">
        <f>IF(RIS!E11="Moins de 10 min",0.25,IF(RIS!E11="De 10 à 20 min",0.3,IF(RIS!E11="De 20 à 30 min",0.35,IF(RIS!E11="Plus de 30 min",0.4,0))))</f>
        <v>0.35</v>
      </c>
      <c r="J12" s="12" t="s">
        <v>53</v>
      </c>
      <c r="K12" s="14">
        <f>RIS!E16</f>
        <v>1.15</v>
      </c>
    </row>
    <row r="13" spans="1:12" ht="19.5" customHeight="1">
      <c r="A13" s="12"/>
      <c r="B13" s="12"/>
      <c r="C13" s="12"/>
      <c r="D13" s="12"/>
      <c r="E13" s="12"/>
      <c r="F13" s="15"/>
      <c r="H13" s="12"/>
      <c r="I13" s="12"/>
      <c r="J13" s="12"/>
      <c r="K13" s="12"/>
      <c r="L13" s="10"/>
    </row>
    <row r="14" spans="1:10" ht="1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7.25">
      <c r="A15" s="13" t="s">
        <v>54</v>
      </c>
      <c r="B15" s="12"/>
      <c r="C15" s="12"/>
      <c r="D15" s="16" t="s">
        <v>55</v>
      </c>
      <c r="E15" s="17">
        <f>RIS!E17</f>
        <v>1500</v>
      </c>
      <c r="G15" s="12" t="s">
        <v>56</v>
      </c>
      <c r="H15" s="12"/>
      <c r="I15" s="12"/>
      <c r="J15" s="12"/>
    </row>
    <row r="16" spans="1:10" ht="15">
      <c r="A16" s="12"/>
      <c r="B16" s="12"/>
      <c r="C16" s="12"/>
      <c r="D16" s="18"/>
      <c r="E16" s="12"/>
      <c r="F16" s="12"/>
      <c r="G16" s="12"/>
      <c r="H16" s="12"/>
      <c r="I16" s="12"/>
      <c r="J16" s="12"/>
    </row>
    <row r="17" spans="1:12" ht="15">
      <c r="A17" s="12"/>
      <c r="B17" s="12"/>
      <c r="C17" s="12"/>
      <c r="D17" s="12"/>
      <c r="E17" s="12"/>
      <c r="F17" s="12"/>
      <c r="G17" s="12"/>
      <c r="I17" s="12"/>
      <c r="J17" s="12"/>
      <c r="L17" s="19" t="s">
        <v>57</v>
      </c>
    </row>
    <row r="18" spans="1:10" ht="15">
      <c r="A18" s="12"/>
      <c r="B18" s="12"/>
      <c r="C18" s="12"/>
      <c r="D18" s="12"/>
      <c r="E18" s="12"/>
      <c r="G18" s="20" t="s">
        <v>58</v>
      </c>
      <c r="H18" s="12"/>
      <c r="I18" s="12"/>
      <c r="J18" s="12"/>
    </row>
    <row r="19" spans="1:12" ht="15">
      <c r="A19" s="12"/>
      <c r="B19" s="12"/>
      <c r="C19" s="12"/>
      <c r="D19" s="12"/>
      <c r="E19" s="12"/>
      <c r="F19" s="12"/>
      <c r="G19" s="12"/>
      <c r="I19" s="12"/>
      <c r="J19" s="12"/>
      <c r="L19" s="20">
        <v>2</v>
      </c>
    </row>
    <row r="20" spans="1:10" ht="15">
      <c r="A20" s="12"/>
      <c r="B20" s="12"/>
      <c r="C20" s="12"/>
      <c r="D20" s="12"/>
      <c r="E20" s="12"/>
      <c r="F20" s="12"/>
      <c r="G20" s="12"/>
      <c r="H20" s="21"/>
      <c r="I20" s="12"/>
      <c r="J20" s="12"/>
    </row>
    <row r="21" spans="1:10" ht="15">
      <c r="A21" s="12"/>
      <c r="B21" s="12"/>
      <c r="C21" s="12"/>
      <c r="D21" s="18"/>
      <c r="E21" s="12" t="s">
        <v>59</v>
      </c>
      <c r="F21" s="12"/>
      <c r="G21" s="12"/>
      <c r="H21" s="21"/>
      <c r="I21" s="12"/>
      <c r="J21" s="12"/>
    </row>
    <row r="22" spans="1:10" ht="17.25">
      <c r="A22" s="13" t="s">
        <v>60</v>
      </c>
      <c r="B22" s="12"/>
      <c r="C22" s="12"/>
      <c r="D22" s="22" t="s">
        <v>61</v>
      </c>
      <c r="E22" s="18" t="s">
        <v>53</v>
      </c>
      <c r="F22" s="23"/>
      <c r="G22" s="14">
        <f>RIS!E18</f>
        <v>1.7249999999999999</v>
      </c>
      <c r="H22" s="12"/>
      <c r="I22" s="12"/>
      <c r="J22" s="12"/>
    </row>
    <row r="23" spans="1:10" ht="15">
      <c r="A23" s="12"/>
      <c r="B23" s="12"/>
      <c r="C23" s="12"/>
      <c r="D23" s="18">
        <v>1</v>
      </c>
      <c r="E23" s="24" t="s">
        <v>62</v>
      </c>
      <c r="F23" s="23"/>
      <c r="G23" s="12"/>
      <c r="H23" s="12"/>
      <c r="I23" s="12"/>
      <c r="J23" s="12"/>
    </row>
    <row r="24" ht="12.75">
      <c r="F24" s="25"/>
    </row>
    <row r="26" spans="1:13" ht="17.25">
      <c r="A26" s="26" t="s">
        <v>63</v>
      </c>
      <c r="B26" s="27">
        <f>RIS!E18</f>
        <v>1.7249999999999999</v>
      </c>
      <c r="D26" s="22" t="s">
        <v>64</v>
      </c>
      <c r="E26" s="22"/>
      <c r="F26" s="28"/>
      <c r="G26" s="13"/>
      <c r="J26" s="13"/>
      <c r="K26" s="29">
        <f>RIS!E23</f>
        <v>4</v>
      </c>
      <c r="L26" s="26" t="s">
        <v>65</v>
      </c>
      <c r="M26" s="30" t="str">
        <f>RIS!E25</f>
        <v>DPS-PE</v>
      </c>
    </row>
    <row r="27" spans="1:10" ht="17.25">
      <c r="A27" s="26"/>
      <c r="B27" s="13"/>
      <c r="C27" s="13"/>
      <c r="D27" s="22"/>
      <c r="E27" s="22"/>
      <c r="F27" s="28"/>
      <c r="G27" s="13"/>
      <c r="H27" s="13"/>
      <c r="I27" s="22"/>
      <c r="J27" s="13"/>
    </row>
    <row r="28" spans="1:10" ht="17.25">
      <c r="A28" s="26"/>
      <c r="B28" s="13"/>
      <c r="C28" s="13"/>
      <c r="D28" s="22"/>
      <c r="E28" s="22"/>
      <c r="F28" s="28"/>
      <c r="G28" s="13"/>
      <c r="H28" s="13"/>
      <c r="I28" s="22"/>
      <c r="J28" s="13"/>
    </row>
    <row r="30" spans="2:12" ht="15">
      <c r="B30" s="31" t="s">
        <v>66</v>
      </c>
      <c r="C30" s="31"/>
      <c r="D30" s="31"/>
      <c r="J30" s="31"/>
      <c r="L30" s="32" t="s">
        <v>67</v>
      </c>
    </row>
    <row r="31" spans="2:12" ht="15">
      <c r="B31" s="31" t="s">
        <v>68</v>
      </c>
      <c r="C31" s="31"/>
      <c r="D31" s="31"/>
      <c r="I31" s="31"/>
      <c r="J31" s="31"/>
      <c r="L31" s="31" t="s">
        <v>69</v>
      </c>
    </row>
  </sheetData>
  <sheetProtection/>
  <mergeCells count="2">
    <mergeCell ref="A1:L1"/>
    <mergeCell ref="B4:E4"/>
  </mergeCells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Utilisateur Windows</cp:lastModifiedBy>
  <cp:lastPrinted>2011-03-03T11:26:52Z</cp:lastPrinted>
  <dcterms:created xsi:type="dcterms:W3CDTF">2009-12-30T19:59:51Z</dcterms:created>
  <dcterms:modified xsi:type="dcterms:W3CDTF">2018-09-03T10:44:48Z</dcterms:modified>
  <cp:category/>
  <cp:version/>
  <cp:contentType/>
  <cp:contentStatus/>
</cp:coreProperties>
</file>